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РАСЧЕТЫ\"/>
    </mc:Choice>
  </mc:AlternateContent>
  <bookViews>
    <workbookView xWindow="0" yWindow="0" windowWidth="29010" windowHeight="11955" firstSheet="1" activeTab="1"/>
  </bookViews>
  <sheets>
    <sheet name="моно 43" sheetId="1" state="hidden" r:id="rId1"/>
    <sheet name="Расчет" sheetId="2" r:id="rId2"/>
    <sheet name="mono L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2" i="3"/>
  <c r="E3" i="3"/>
  <c r="E2" i="3"/>
  <c r="D3" i="3"/>
  <c r="D2" i="3"/>
  <c r="D9" i="3" s="1"/>
  <c r="F3" i="1"/>
  <c r="E3" i="1"/>
  <c r="D3" i="1"/>
  <c r="F2" i="1"/>
  <c r="E2" i="1"/>
  <c r="E9" i="1" s="1"/>
  <c r="D2" i="1"/>
  <c r="D21" i="3"/>
  <c r="D23" i="3" s="1"/>
  <c r="D11" i="3"/>
  <c r="J10" i="3"/>
  <c r="D10" i="3"/>
  <c r="J9" i="3"/>
  <c r="J8" i="3"/>
  <c r="D21" i="1"/>
  <c r="D23" i="1" s="1"/>
  <c r="J10" i="1"/>
  <c r="D10" i="1"/>
  <c r="J9" i="1"/>
  <c r="D11" i="1" s="1"/>
  <c r="J8" i="1"/>
  <c r="E17" i="3" l="1"/>
  <c r="D17" i="3"/>
  <c r="F13" i="3"/>
  <c r="E14" i="3"/>
  <c r="E15" i="3"/>
  <c r="E19" i="3" s="1"/>
  <c r="E13" i="3"/>
  <c r="E9" i="3"/>
  <c r="F15" i="3"/>
  <c r="F14" i="3"/>
  <c r="F16" i="3"/>
  <c r="F9" i="3"/>
  <c r="D15" i="3"/>
  <c r="D19" i="3" s="1"/>
  <c r="H2" i="3"/>
  <c r="D24" i="3"/>
  <c r="D13" i="3"/>
  <c r="G2" i="3"/>
  <c r="D14" i="3"/>
  <c r="D18" i="3" s="1"/>
  <c r="E16" i="3"/>
  <c r="E18" i="3" s="1"/>
  <c r="D16" i="3"/>
  <c r="F15" i="1"/>
  <c r="F13" i="1"/>
  <c r="F14" i="1"/>
  <c r="F9" i="1"/>
  <c r="E15" i="1"/>
  <c r="E19" i="1" s="1"/>
  <c r="E13" i="1"/>
  <c r="E17" i="1" s="1"/>
  <c r="H2" i="1"/>
  <c r="E14" i="1"/>
  <c r="D15" i="1"/>
  <c r="D19" i="1" s="1"/>
  <c r="D9" i="1"/>
  <c r="D13" i="1"/>
  <c r="D17" i="1" s="1"/>
  <c r="G2" i="1"/>
  <c r="D14" i="1"/>
  <c r="D18" i="1" s="1"/>
  <c r="D24" i="1"/>
  <c r="D16" i="1"/>
  <c r="F16" i="1"/>
  <c r="E16" i="1"/>
  <c r="E18" i="1" l="1"/>
  <c r="E7" i="1" s="1"/>
  <c r="F18" i="1"/>
  <c r="F17" i="1"/>
  <c r="C16" i="2"/>
  <c r="D16" i="2" s="1"/>
  <c r="F19" i="3"/>
  <c r="F8" i="3" s="1"/>
  <c r="F18" i="3"/>
  <c r="F7" i="3" s="1"/>
  <c r="F17" i="3"/>
  <c r="F6" i="3" s="1"/>
  <c r="F19" i="1"/>
  <c r="E8" i="3"/>
  <c r="G15" i="3"/>
  <c r="G14" i="3"/>
  <c r="E6" i="3"/>
  <c r="G13" i="3"/>
  <c r="D7" i="3"/>
  <c r="D8" i="3"/>
  <c r="G16" i="1"/>
  <c r="D7" i="1"/>
  <c r="D10" i="2" l="1"/>
  <c r="E7" i="3"/>
  <c r="F7" i="1"/>
  <c r="F10" i="2"/>
  <c r="B10" i="2"/>
  <c r="D6" i="3"/>
  <c r="F8" i="1"/>
  <c r="E8" i="1"/>
  <c r="D8" i="1"/>
  <c r="D6" i="1"/>
  <c r="E6" i="1"/>
  <c r="F6" i="1"/>
  <c r="G15" i="1"/>
  <c r="G13" i="1"/>
  <c r="G14" i="1"/>
  <c r="C12" i="2" l="1"/>
  <c r="D12" i="2" s="1"/>
  <c r="C14" i="2"/>
  <c r="D14" i="2" s="1"/>
</calcChain>
</file>

<file path=xl/sharedStrings.xml><?xml version="1.0" encoding="utf-8"?>
<sst xmlns="http://schemas.openxmlformats.org/spreadsheetml/2006/main" count="118" uniqueCount="74">
  <si>
    <t>Труба 43M BENTHIN МОНО</t>
  </si>
  <si>
    <t>1 секция</t>
  </si>
  <si>
    <t>2 секция</t>
  </si>
  <si>
    <t>3 секция</t>
  </si>
  <si>
    <t>Площадь,
кв.м</t>
  </si>
  <si>
    <t>Длина,
м</t>
  </si>
  <si>
    <t>Ткани рулонные</t>
  </si>
  <si>
    <t>Ширина изделия, м</t>
  </si>
  <si>
    <t>Группа</t>
  </si>
  <si>
    <t>Макс.
плотность, кг/м^2</t>
  </si>
  <si>
    <t>Высота высота, м</t>
  </si>
  <si>
    <t>A</t>
  </si>
  <si>
    <t>Количество карданов</t>
  </si>
  <si>
    <t>max 8,4кв.м.</t>
  </si>
  <si>
    <t>max 6м</t>
  </si>
  <si>
    <t>B</t>
  </si>
  <si>
    <t>Параметр</t>
  </si>
  <si>
    <t>Прогибы</t>
  </si>
  <si>
    <t>C</t>
  </si>
  <si>
    <t>Прогиб трубы A, мм</t>
  </si>
  <si>
    <t>Ткань</t>
  </si>
  <si>
    <t>Прогиб трубы B, мм</t>
  </si>
  <si>
    <t>Нижняя рейка</t>
  </si>
  <si>
    <t>Прогиб трубы C, мм</t>
  </si>
  <si>
    <t>ЛВТ</t>
  </si>
  <si>
    <t>Допустимый прогиб</t>
  </si>
  <si>
    <t>M</t>
  </si>
  <si>
    <t>Модуль упругости 6063, кг/см^2</t>
  </si>
  <si>
    <t>L</t>
  </si>
  <si>
    <t>Плотность нижней рейки, кг/м</t>
  </si>
  <si>
    <t>Осевой момент инерции сечения трубы см^4</t>
  </si>
  <si>
    <t>Полная нагрузка</t>
  </si>
  <si>
    <t>Масса полотна группы A, кг</t>
  </si>
  <si>
    <t>5кг
max</t>
  </si>
  <si>
    <t>Масса полотна группы B, кг</t>
  </si>
  <si>
    <t>Масса полотна группы C, кг</t>
  </si>
  <si>
    <t>Масса нижней рейки, кг</t>
  </si>
  <si>
    <t>Макс. Нагрузка на трубу A, кг</t>
  </si>
  <si>
    <t>Макс. Нагрузка на трубу B, кг</t>
  </si>
  <si>
    <t>Макс. Нагрузка на трубу C, кг</t>
  </si>
  <si>
    <t>Площадь сечения трубы, кв.м</t>
  </si>
  <si>
    <t>Плотность 6063, кг/куб.м</t>
  </si>
  <si>
    <t>Плотность трубы кг/п.м.</t>
  </si>
  <si>
    <t>Масса трубы в изделии, кг</t>
  </si>
  <si>
    <t>Коэффициент запаса на ткань</t>
  </si>
  <si>
    <t>Изделие 1</t>
  </si>
  <si>
    <t>Изделие 2</t>
  </si>
  <si>
    <t>Изделие 3</t>
  </si>
  <si>
    <t>Тип системы</t>
  </si>
  <si>
    <t>Тип ткани</t>
  </si>
  <si>
    <t>А</t>
  </si>
  <si>
    <t>В</t>
  </si>
  <si>
    <t>С</t>
  </si>
  <si>
    <t>Ширина, м</t>
  </si>
  <si>
    <t>Высота, м</t>
  </si>
  <si>
    <t>Макс. Нагрузка</t>
  </si>
  <si>
    <t>Нагрузка на механизм</t>
  </si>
  <si>
    <t>Тип привода</t>
  </si>
  <si>
    <t>Привод ручной</t>
  </si>
  <si>
    <t xml:space="preserve">Нагрузка на рег. Заглушку </t>
  </si>
  <si>
    <t>Площадь кв.м.</t>
  </si>
  <si>
    <t>Привод  эл. А</t>
  </si>
  <si>
    <t>BNT M (43-44)</t>
  </si>
  <si>
    <t>BNT L (43)</t>
  </si>
  <si>
    <t>BNT M+ (43)</t>
  </si>
  <si>
    <t>BNT M+ (44-52)</t>
  </si>
  <si>
    <t>Труба 52L BENTHIN МОНО</t>
  </si>
  <si>
    <t>max 16кв.м.</t>
  </si>
  <si>
    <t>Сумма с кард</t>
  </si>
  <si>
    <t>РЕДУКТОР</t>
  </si>
  <si>
    <t>12кг
max</t>
  </si>
  <si>
    <t>Без – 0...3 кг
1,47:1 – 3...5 кг
3,16:1 – 5…10</t>
  </si>
  <si>
    <t>BNT L (52-75)</t>
  </si>
  <si>
    <t>Расчет нагрузки на цепочный механизм и рег. Заглушку в системах МОНО БНТ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</si>
</sst>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0.0;\-0.0;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2" fontId="3" fillId="4" borderId="1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center"/>
    </xf>
    <xf numFmtId="165" fontId="3" fillId="4" borderId="18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4" fontId="0" fillId="5" borderId="5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2" fontId="3" fillId="4" borderId="4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0" fillId="5" borderId="29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0" xfId="0" applyBorder="1" applyProtection="1">
      <protection locked="0" hidden="1"/>
    </xf>
    <xf numFmtId="0" fontId="0" fillId="0" borderId="30" xfId="0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30" xfId="0" applyFill="1" applyBorder="1" applyAlignment="1" applyProtection="1">
      <alignment horizontal="center"/>
      <protection locked="0" hidden="1"/>
    </xf>
    <xf numFmtId="2" fontId="0" fillId="0" borderId="30" xfId="0" applyNumberFormat="1" applyBorder="1" applyProtection="1">
      <protection hidden="1"/>
    </xf>
    <xf numFmtId="0" fontId="0" fillId="0" borderId="0" xfId="0" applyBorder="1" applyProtection="1">
      <protection hidden="1"/>
    </xf>
    <xf numFmtId="167" fontId="1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" fontId="0" fillId="3" borderId="13" xfId="0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hidden="1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39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2" fontId="3" fillId="3" borderId="40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D20" sqref="D20"/>
    </sheetView>
  </sheetViews>
  <sheetFormatPr defaultRowHeight="15" x14ac:dyDescent="0.25"/>
  <cols>
    <col min="3" max="3" width="16.42578125" customWidth="1"/>
    <col min="7" max="7" width="11.5703125" customWidth="1"/>
  </cols>
  <sheetData>
    <row r="1" spans="1:15" ht="30" x14ac:dyDescent="0.25">
      <c r="A1" s="149" t="s">
        <v>0</v>
      </c>
      <c r="B1" s="150"/>
      <c r="C1" s="150"/>
      <c r="D1" s="1" t="s">
        <v>1</v>
      </c>
      <c r="E1" s="1" t="s">
        <v>2</v>
      </c>
      <c r="F1" s="1" t="s">
        <v>3</v>
      </c>
      <c r="G1" s="2" t="s">
        <v>4</v>
      </c>
      <c r="H1" s="3" t="s">
        <v>5</v>
      </c>
      <c r="I1" s="151" t="s">
        <v>6</v>
      </c>
      <c r="J1" s="127"/>
      <c r="K1" s="4"/>
      <c r="L1" s="4"/>
      <c r="M1" s="4"/>
      <c r="N1" s="4"/>
      <c r="O1" s="4"/>
    </row>
    <row r="2" spans="1:15" ht="60" x14ac:dyDescent="0.25">
      <c r="A2" s="152" t="s">
        <v>7</v>
      </c>
      <c r="B2" s="153"/>
      <c r="C2" s="153"/>
      <c r="D2" s="5">
        <f>IF(Расчет!H5="BNT M (43-44)",Расчет!B5,0)</f>
        <v>0</v>
      </c>
      <c r="E2" s="5">
        <f>IF(Расчет!H5="BNT M (43-44)",Расчет!D5,0)</f>
        <v>0</v>
      </c>
      <c r="F2" s="5">
        <f>IF(Расчет!H5="BNT M (43-44)",Расчет!F5,0)</f>
        <v>0</v>
      </c>
      <c r="G2" s="154">
        <f>D2*D3+E2*E3+F3*F2</f>
        <v>0</v>
      </c>
      <c r="H2" s="156">
        <f>D2+E2+F2</f>
        <v>0</v>
      </c>
      <c r="I2" s="6" t="s">
        <v>8</v>
      </c>
      <c r="J2" s="7" t="s">
        <v>9</v>
      </c>
      <c r="K2" s="4"/>
      <c r="L2" s="4"/>
      <c r="M2" s="4"/>
      <c r="N2" s="4"/>
      <c r="O2" s="4"/>
    </row>
    <row r="3" spans="1:15" ht="15.75" thickBot="1" x14ac:dyDescent="0.3">
      <c r="A3" s="158" t="s">
        <v>10</v>
      </c>
      <c r="B3" s="159"/>
      <c r="C3" s="159"/>
      <c r="D3" s="8">
        <f>IF(Расчет!H5="BNT M (43-44)",Расчет!B7,0)</f>
        <v>0</v>
      </c>
      <c r="E3" s="8">
        <f>IF(Расчет!H5="BNT M (43-44)",Расчет!D7,0)</f>
        <v>0</v>
      </c>
      <c r="F3" s="8">
        <f>IF(Расчет!H5="BNT M (43-44)",Расчет!F7,0)</f>
        <v>0</v>
      </c>
      <c r="G3" s="155"/>
      <c r="H3" s="157"/>
      <c r="I3" s="9" t="s">
        <v>11</v>
      </c>
      <c r="J3" s="10">
        <v>0.2</v>
      </c>
      <c r="K3" s="4"/>
      <c r="L3" s="4"/>
      <c r="M3" s="4"/>
      <c r="N3" s="4"/>
      <c r="O3" s="4"/>
    </row>
    <row r="4" spans="1:15" ht="15.75" thickBot="1" x14ac:dyDescent="0.3">
      <c r="A4" s="140" t="s">
        <v>12</v>
      </c>
      <c r="B4" s="141"/>
      <c r="C4" s="141"/>
      <c r="D4" s="142">
        <v>0</v>
      </c>
      <c r="E4" s="142"/>
      <c r="F4" s="143"/>
      <c r="G4" s="11" t="s">
        <v>13</v>
      </c>
      <c r="H4" s="12" t="s">
        <v>14</v>
      </c>
      <c r="I4" s="13" t="s">
        <v>15</v>
      </c>
      <c r="J4" s="10">
        <v>0.32</v>
      </c>
      <c r="K4" s="4"/>
      <c r="L4" s="4"/>
      <c r="M4" s="4"/>
      <c r="N4" s="4"/>
      <c r="O4" s="4"/>
    </row>
    <row r="5" spans="1:15" x14ac:dyDescent="0.25">
      <c r="A5" s="144" t="s">
        <v>16</v>
      </c>
      <c r="B5" s="145"/>
      <c r="C5" s="145"/>
      <c r="D5" s="145" t="s">
        <v>17</v>
      </c>
      <c r="E5" s="145"/>
      <c r="F5" s="146"/>
      <c r="G5" s="4"/>
      <c r="H5" s="14"/>
      <c r="I5" s="15" t="s">
        <v>18</v>
      </c>
      <c r="J5" s="16">
        <v>0.55000000000000004</v>
      </c>
      <c r="K5" s="4"/>
      <c r="L5" s="4"/>
      <c r="M5" s="4"/>
      <c r="N5" s="4"/>
      <c r="O5" s="4"/>
    </row>
    <row r="6" spans="1:15" x14ac:dyDescent="0.25">
      <c r="A6" s="147" t="s">
        <v>19</v>
      </c>
      <c r="B6" s="148"/>
      <c r="C6" s="148"/>
      <c r="D6" s="17">
        <f>(5*(D17+$D$24)*(((D2-0.035)*100)^3)/(384*$D$10*$D$12)*10)</f>
        <v>3.9985389961094958E-8</v>
      </c>
      <c r="E6" s="17">
        <f>(5*(E17+$D$24)*(((E2-0.035)*100)^3)/(384*$D$10*$D$12)*10)</f>
        <v>3.9985389961094958E-8</v>
      </c>
      <c r="F6" s="18">
        <f>(5*(F17+$D$24)*(((F2-0.035)*100)^3)/(384*$D$10*$D$12)*10)</f>
        <v>3.9985389961094958E-8</v>
      </c>
      <c r="G6" s="4"/>
      <c r="H6" s="4"/>
      <c r="I6" s="13" t="s">
        <v>20</v>
      </c>
      <c r="J6" s="13"/>
      <c r="K6" s="4"/>
      <c r="L6" s="4"/>
      <c r="M6" s="4"/>
      <c r="N6" s="4"/>
      <c r="O6" s="4"/>
    </row>
    <row r="7" spans="1:15" x14ac:dyDescent="0.25">
      <c r="A7" s="147" t="s">
        <v>21</v>
      </c>
      <c r="B7" s="148"/>
      <c r="C7" s="148"/>
      <c r="D7" s="17">
        <f>(5*(D18+$D$24)*(((D2-0.035)*100)^3)/(384*$D$10*$D$12)*10)</f>
        <v>3.9985389961094958E-8</v>
      </c>
      <c r="E7" s="17">
        <f>(5*(E18+$D$24)*(((E2-0.035)*100)^3)/(384*$D$10*$D$12)*10)</f>
        <v>3.9985389961094958E-8</v>
      </c>
      <c r="F7" s="18">
        <f>(5*(F18+$D$24)*(((F2-0.035)*100)^3)/(384*$D$10*$D$12)*10)</f>
        <v>3.9985389961094958E-8</v>
      </c>
      <c r="G7" s="4"/>
      <c r="H7" s="4"/>
      <c r="I7" s="127" t="s">
        <v>22</v>
      </c>
      <c r="J7" s="127"/>
      <c r="K7" s="4"/>
      <c r="L7" s="4"/>
      <c r="M7" s="4"/>
      <c r="N7" s="4"/>
      <c r="O7" s="4"/>
    </row>
    <row r="8" spans="1:15" ht="15.75" thickBot="1" x14ac:dyDescent="0.3">
      <c r="A8" s="128" t="s">
        <v>23</v>
      </c>
      <c r="B8" s="129"/>
      <c r="C8" s="129"/>
      <c r="D8" s="19">
        <f>(5*(D19+$D$24)*(((D2-0.035)*100)^3)/(384*$D$10*$D$12)*10)</f>
        <v>3.9985389961094958E-8</v>
      </c>
      <c r="E8" s="19">
        <f>(5*(E19+$D$24)*(((E2-0.035)*100)^3)/(384*$D$10*$D$12)*10)</f>
        <v>3.9985389961094958E-8</v>
      </c>
      <c r="F8" s="20">
        <f>(5*(F19+$D$24)*(((F2-0.035)*100)^3)/(384*$D$10*$D$12)*10)</f>
        <v>3.9985389961094958E-8</v>
      </c>
      <c r="G8" s="4"/>
      <c r="H8" s="4"/>
      <c r="I8" s="21" t="s">
        <v>24</v>
      </c>
      <c r="J8" s="22">
        <f>0.28*1.03</f>
        <v>0.28840000000000005</v>
      </c>
      <c r="K8" s="4"/>
      <c r="L8" s="4"/>
      <c r="M8" s="4"/>
      <c r="N8" s="4"/>
      <c r="O8" s="4"/>
    </row>
    <row r="9" spans="1:15" ht="15.75" thickBot="1" x14ac:dyDescent="0.3">
      <c r="A9" s="130" t="s">
        <v>25</v>
      </c>
      <c r="B9" s="131"/>
      <c r="C9" s="131"/>
      <c r="D9" s="23">
        <f>D2/0.5</f>
        <v>0</v>
      </c>
      <c r="E9" s="23">
        <f>E2/0.5</f>
        <v>0</v>
      </c>
      <c r="F9" s="24">
        <f>F2/0.5</f>
        <v>0</v>
      </c>
      <c r="G9" s="25"/>
      <c r="H9" s="4"/>
      <c r="I9" s="26" t="s">
        <v>26</v>
      </c>
      <c r="J9" s="27">
        <f>(1.16*100)/(1000^2)*2690</f>
        <v>0.31203999999999998</v>
      </c>
      <c r="K9" s="4"/>
      <c r="L9" s="4"/>
      <c r="M9" s="4"/>
      <c r="N9" s="4"/>
      <c r="O9" s="4"/>
    </row>
    <row r="10" spans="1:15" x14ac:dyDescent="0.25">
      <c r="A10" s="132" t="s">
        <v>27</v>
      </c>
      <c r="B10" s="133"/>
      <c r="C10" s="133"/>
      <c r="D10" s="134">
        <f>6.83*10^5</f>
        <v>683000</v>
      </c>
      <c r="E10" s="134"/>
      <c r="F10" s="135"/>
      <c r="G10" s="28"/>
      <c r="H10" s="29"/>
      <c r="I10" s="30" t="s">
        <v>28</v>
      </c>
      <c r="J10" s="31">
        <f>(1.64*100)/(1000^2)*2690</f>
        <v>0.44116</v>
      </c>
      <c r="K10" s="4"/>
      <c r="L10" s="4"/>
      <c r="M10" s="4"/>
      <c r="N10" s="4"/>
      <c r="O10" s="4"/>
    </row>
    <row r="11" spans="1:15" x14ac:dyDescent="0.25">
      <c r="A11" s="136" t="s">
        <v>29</v>
      </c>
      <c r="B11" s="137"/>
      <c r="C11" s="137"/>
      <c r="D11" s="138">
        <f>J9</f>
        <v>0.31203999999999998</v>
      </c>
      <c r="E11" s="138"/>
      <c r="F11" s="139"/>
      <c r="G11" s="32"/>
      <c r="H11" s="29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110" t="s">
        <v>30</v>
      </c>
      <c r="B12" s="111"/>
      <c r="C12" s="111"/>
      <c r="D12" s="112">
        <v>4.8499999999999996</v>
      </c>
      <c r="E12" s="112"/>
      <c r="F12" s="113"/>
      <c r="G12" s="114" t="s">
        <v>31</v>
      </c>
      <c r="H12" s="115"/>
      <c r="I12" s="4"/>
      <c r="J12" s="4"/>
      <c r="K12" s="4"/>
      <c r="L12" s="4"/>
      <c r="M12" s="4"/>
      <c r="N12" s="4"/>
      <c r="O12" s="4"/>
    </row>
    <row r="13" spans="1:15" x14ac:dyDescent="0.25">
      <c r="A13" s="116" t="s">
        <v>32</v>
      </c>
      <c r="B13" s="117"/>
      <c r="C13" s="117"/>
      <c r="D13" s="33">
        <f>((D3+0.3)*(D2-0.035)*$J3*$D$25)</f>
        <v>-2.2050000000000004E-3</v>
      </c>
      <c r="E13" s="33">
        <f>(E3+0.3)*(E2-0.035)*$J3*$D$25</f>
        <v>-2.2050000000000004E-3</v>
      </c>
      <c r="F13" s="34">
        <f>(F3+0.3)*(F2-0.035)*$J3*$D$25</f>
        <v>-2.2050000000000004E-3</v>
      </c>
      <c r="G13" s="118">
        <f>IF($D$4=0,SUM(D13:F13),(SUM(D13:F13))*1.1^$D$4)+$G$16</f>
        <v>-3.937920000000001E-2</v>
      </c>
      <c r="H13" s="119"/>
      <c r="I13" s="120" t="s">
        <v>33</v>
      </c>
      <c r="J13" s="35"/>
      <c r="K13" s="36"/>
      <c r="L13" s="4"/>
      <c r="M13" s="4"/>
      <c r="N13" s="4"/>
      <c r="O13" s="4"/>
    </row>
    <row r="14" spans="1:15" x14ac:dyDescent="0.25">
      <c r="A14" s="100" t="s">
        <v>34</v>
      </c>
      <c r="B14" s="101"/>
      <c r="C14" s="101"/>
      <c r="D14" s="37">
        <f>(D3+0.3)*(D2-0.035)*$J$4*$D$25</f>
        <v>-3.5280000000000003E-3</v>
      </c>
      <c r="E14" s="37">
        <f>(E3+0.3)*(E2-0.035)*$J$4*$D$25</f>
        <v>-3.5280000000000003E-3</v>
      </c>
      <c r="F14" s="38">
        <f>(F3+0.3)*(F2-0.035)*$J$4*$D$25</f>
        <v>-3.5280000000000003E-3</v>
      </c>
      <c r="G14" s="123">
        <f>IF($D$4=0,SUM(D14:F14),(SUM(D14:F14))*1.1^$D$4)+$G$16</f>
        <v>-4.334820000000001E-2</v>
      </c>
      <c r="H14" s="124"/>
      <c r="I14" s="121"/>
      <c r="J14" s="36"/>
      <c r="K14" s="36"/>
      <c r="L14" s="4"/>
      <c r="M14" s="4"/>
      <c r="N14" s="4"/>
      <c r="O14" s="4"/>
    </row>
    <row r="15" spans="1:15" ht="15.75" thickBot="1" x14ac:dyDescent="0.3">
      <c r="A15" s="100" t="s">
        <v>35</v>
      </c>
      <c r="B15" s="101"/>
      <c r="C15" s="101"/>
      <c r="D15" s="37">
        <f>(D3+0.3)*(D2-0.035)*$J$5*$D$25</f>
        <v>-6.0637500000000006E-3</v>
      </c>
      <c r="E15" s="37">
        <f>(E3+0.3)*(E2-0.035)*$J$5*$D$25</f>
        <v>-6.0637500000000006E-3</v>
      </c>
      <c r="F15" s="38">
        <f>(F3+0.3)*(F2-0.035)*$J$5*$D$25</f>
        <v>-6.0637500000000006E-3</v>
      </c>
      <c r="G15" s="125">
        <f>IF($D$4=0,SUM(D15:F15),(SUM(D15:F15))*1.1^$D$4)+$G$16</f>
        <v>-5.0955450000000013E-2</v>
      </c>
      <c r="H15" s="126"/>
      <c r="I15" s="122"/>
      <c r="J15" s="36"/>
      <c r="K15" s="36"/>
      <c r="L15" s="4"/>
      <c r="M15" s="4"/>
      <c r="N15" s="4"/>
      <c r="O15" s="4"/>
    </row>
    <row r="16" spans="1:15" x14ac:dyDescent="0.25">
      <c r="A16" s="100" t="s">
        <v>36</v>
      </c>
      <c r="B16" s="101"/>
      <c r="C16" s="101"/>
      <c r="D16" s="37">
        <f>(D2-0.035)*$D$11</f>
        <v>-1.0921400000000001E-2</v>
      </c>
      <c r="E16" s="37">
        <f>(E2-0.035)*$D$11</f>
        <v>-1.0921400000000001E-2</v>
      </c>
      <c r="F16" s="38">
        <f>(F2-0.035)*$D$11</f>
        <v>-1.0921400000000001E-2</v>
      </c>
      <c r="G16" s="102">
        <f>SUM(D16:F16)</f>
        <v>-3.2764200000000007E-2</v>
      </c>
      <c r="H16" s="103"/>
      <c r="I16" s="4"/>
      <c r="J16" s="4"/>
      <c r="K16" s="4"/>
      <c r="L16" s="4"/>
      <c r="M16" s="4"/>
      <c r="N16" s="4"/>
      <c r="O16" s="4"/>
    </row>
    <row r="17" spans="1:15" x14ac:dyDescent="0.25">
      <c r="A17" s="100" t="s">
        <v>37</v>
      </c>
      <c r="B17" s="101"/>
      <c r="C17" s="101"/>
      <c r="D17" s="37">
        <f>IF(D2&gt;0,(D13+D16),0)</f>
        <v>0</v>
      </c>
      <c r="E17" s="37">
        <f>IF(E2&gt;0,(E13+E16),0)</f>
        <v>0</v>
      </c>
      <c r="F17" s="38">
        <f>IF(F2&gt;0,(F13+F16),0)</f>
        <v>0</v>
      </c>
      <c r="G17" s="39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00" t="s">
        <v>38</v>
      </c>
      <c r="B18" s="101"/>
      <c r="C18" s="101"/>
      <c r="D18" s="37">
        <f>IF(D2&gt;0,(D14+D16),0)</f>
        <v>0</v>
      </c>
      <c r="E18" s="37">
        <f>IF(E2&gt;0,(E14+E16),0)</f>
        <v>0</v>
      </c>
      <c r="F18" s="38">
        <f>IF(F2&gt;0,(F14+F16),0)</f>
        <v>0</v>
      </c>
      <c r="G18" s="39"/>
      <c r="H18" s="4"/>
      <c r="I18" s="4"/>
      <c r="J18" s="4"/>
      <c r="K18" s="4"/>
      <c r="L18" s="4"/>
      <c r="M18" s="4"/>
      <c r="N18" s="4"/>
      <c r="O18" s="4"/>
    </row>
    <row r="19" spans="1:15" ht="15.75" thickBot="1" x14ac:dyDescent="0.3">
      <c r="A19" s="104" t="s">
        <v>39</v>
      </c>
      <c r="B19" s="105"/>
      <c r="C19" s="105"/>
      <c r="D19" s="40">
        <f>IF(D2&gt;0,(D15+D16),0)</f>
        <v>0</v>
      </c>
      <c r="E19" s="40">
        <f>IF(E2&gt;0,(E15+E16),0)</f>
        <v>0</v>
      </c>
      <c r="F19" s="41">
        <f>IF(F2&gt;0,(F15+F16),0)</f>
        <v>0</v>
      </c>
      <c r="G19" s="39"/>
      <c r="H19" s="4"/>
      <c r="I19" s="4"/>
      <c r="J19" s="4"/>
      <c r="K19" s="4"/>
      <c r="L19" s="4"/>
      <c r="M19" s="4"/>
      <c r="N19" s="4"/>
      <c r="O19" s="4"/>
    </row>
    <row r="20" spans="1:15" ht="15.75" thickBot="1" x14ac:dyDescent="0.3">
      <c r="A20" s="4"/>
      <c r="B20" s="4"/>
      <c r="C20" s="4"/>
      <c r="D20" s="4"/>
      <c r="E20" s="4"/>
      <c r="F20" s="4"/>
      <c r="G20" s="4"/>
      <c r="H20" s="29"/>
      <c r="I20" s="4"/>
      <c r="J20" s="4"/>
      <c r="K20" s="4"/>
      <c r="L20" s="4"/>
      <c r="M20" s="4"/>
      <c r="N20" s="4"/>
      <c r="O20" s="4"/>
    </row>
    <row r="21" spans="1:15" x14ac:dyDescent="0.25">
      <c r="A21" s="106" t="s">
        <v>40</v>
      </c>
      <c r="B21" s="107"/>
      <c r="C21" s="107"/>
      <c r="D21" s="108">
        <f>(2.52*100)/(1000^2)</f>
        <v>2.52E-4</v>
      </c>
      <c r="E21" s="108"/>
      <c r="F21" s="109"/>
      <c r="G21" s="28"/>
      <c r="H21" s="29"/>
      <c r="I21" s="4"/>
      <c r="J21" s="4"/>
      <c r="K21" s="4"/>
      <c r="L21" s="4"/>
      <c r="M21" s="4"/>
      <c r="N21" s="4"/>
      <c r="O21" s="4"/>
    </row>
    <row r="22" spans="1:15" x14ac:dyDescent="0.25">
      <c r="A22" s="90" t="s">
        <v>41</v>
      </c>
      <c r="B22" s="91"/>
      <c r="C22" s="91"/>
      <c r="D22" s="92">
        <v>2690</v>
      </c>
      <c r="E22" s="92"/>
      <c r="F22" s="93"/>
      <c r="G22" s="28"/>
      <c r="H22" s="29"/>
      <c r="I22" s="4"/>
      <c r="J22" s="4"/>
      <c r="K22" s="4"/>
      <c r="L22" s="4"/>
      <c r="M22" s="4"/>
      <c r="N22" s="4"/>
      <c r="O22" s="4"/>
    </row>
    <row r="23" spans="1:15" x14ac:dyDescent="0.25">
      <c r="A23" s="90" t="s">
        <v>42</v>
      </c>
      <c r="B23" s="91"/>
      <c r="C23" s="91"/>
      <c r="D23" s="94">
        <f>D22*D21</f>
        <v>0.67788000000000004</v>
      </c>
      <c r="E23" s="94"/>
      <c r="F23" s="95"/>
      <c r="G23" s="42"/>
      <c r="H23" s="29"/>
      <c r="I23" s="4"/>
      <c r="J23" s="4"/>
      <c r="K23" s="4"/>
      <c r="L23" s="4"/>
      <c r="M23" s="4"/>
      <c r="N23" s="4"/>
      <c r="O23" s="4"/>
    </row>
    <row r="24" spans="1:15" ht="15.75" thickBot="1" x14ac:dyDescent="0.3">
      <c r="A24" s="96" t="s">
        <v>43</v>
      </c>
      <c r="B24" s="97"/>
      <c r="C24" s="97"/>
      <c r="D24" s="98">
        <f>(D2-0.035)*(D23)</f>
        <v>-2.3725800000000005E-2</v>
      </c>
      <c r="E24" s="98"/>
      <c r="F24" s="99"/>
      <c r="G24" s="43"/>
      <c r="H24" s="29"/>
      <c r="I24" s="4"/>
      <c r="J24" s="4"/>
      <c r="K24" s="4"/>
      <c r="L24" s="4"/>
      <c r="M24" s="4"/>
      <c r="N24" s="4"/>
      <c r="O24" s="4"/>
    </row>
    <row r="25" spans="1:15" ht="15.75" thickBot="1" x14ac:dyDescent="0.3">
      <c r="A25" s="86" t="s">
        <v>44</v>
      </c>
      <c r="B25" s="87"/>
      <c r="C25" s="87"/>
      <c r="D25" s="88">
        <v>1.05</v>
      </c>
      <c r="E25" s="88"/>
      <c r="F25" s="89"/>
      <c r="G25" s="44"/>
      <c r="H25" s="29"/>
      <c r="I25" s="4"/>
      <c r="J25" s="4"/>
      <c r="K25" s="4"/>
      <c r="L25" s="4"/>
      <c r="M25" s="4"/>
      <c r="N25" s="4"/>
      <c r="O25" s="4"/>
    </row>
  </sheetData>
  <mergeCells count="44">
    <mergeCell ref="A1:C1"/>
    <mergeCell ref="I1:J1"/>
    <mergeCell ref="A2:C2"/>
    <mergeCell ref="G2:G3"/>
    <mergeCell ref="H2:H3"/>
    <mergeCell ref="A3:C3"/>
    <mergeCell ref="A11:C11"/>
    <mergeCell ref="D11:F11"/>
    <mergeCell ref="A4:C4"/>
    <mergeCell ref="D4:F4"/>
    <mergeCell ref="A5:C5"/>
    <mergeCell ref="D5:F5"/>
    <mergeCell ref="A6:C6"/>
    <mergeCell ref="A7:C7"/>
    <mergeCell ref="I7:J7"/>
    <mergeCell ref="A8:C8"/>
    <mergeCell ref="A9:C9"/>
    <mergeCell ref="A10:C10"/>
    <mergeCell ref="D10:F10"/>
    <mergeCell ref="I13:I15"/>
    <mergeCell ref="A14:C14"/>
    <mergeCell ref="G14:H14"/>
    <mergeCell ref="A15:C15"/>
    <mergeCell ref="G15:H15"/>
    <mergeCell ref="A21:C21"/>
    <mergeCell ref="D21:F21"/>
    <mergeCell ref="A12:C12"/>
    <mergeCell ref="D12:F12"/>
    <mergeCell ref="G12:H12"/>
    <mergeCell ref="A13:C13"/>
    <mergeCell ref="G13:H13"/>
    <mergeCell ref="A16:C16"/>
    <mergeCell ref="G16:H16"/>
    <mergeCell ref="A17:C17"/>
    <mergeCell ref="A18:C18"/>
    <mergeCell ref="A19:C19"/>
    <mergeCell ref="A25:C25"/>
    <mergeCell ref="D25:F25"/>
    <mergeCell ref="A22:C22"/>
    <mergeCell ref="D22:F22"/>
    <mergeCell ref="A23:C23"/>
    <mergeCell ref="D23:F23"/>
    <mergeCell ref="A24:C24"/>
    <mergeCell ref="D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4.7109375" customWidth="1"/>
    <col min="2" max="2" width="12.140625" customWidth="1"/>
    <col min="4" max="4" width="12.140625" customWidth="1"/>
    <col min="6" max="6" width="11.85546875" customWidth="1"/>
    <col min="8" max="8" width="15.7109375" customWidth="1"/>
    <col min="11" max="11" width="0" hidden="1" customWidth="1"/>
  </cols>
  <sheetData>
    <row r="1" spans="1:11" x14ac:dyDescent="0.25">
      <c r="A1" s="76"/>
      <c r="B1" s="76"/>
      <c r="C1" s="76"/>
      <c r="D1" s="76"/>
      <c r="E1" s="76"/>
      <c r="F1" s="76"/>
      <c r="G1" s="76"/>
      <c r="H1" s="76"/>
      <c r="K1" t="s">
        <v>62</v>
      </c>
    </row>
    <row r="2" spans="1:11" ht="15" customHeight="1" x14ac:dyDescent="0.25">
      <c r="A2" s="160" t="s">
        <v>73</v>
      </c>
      <c r="B2" s="160"/>
      <c r="C2" s="160"/>
      <c r="D2" s="160"/>
      <c r="E2" s="160"/>
      <c r="F2" s="160"/>
      <c r="G2" s="160"/>
      <c r="H2" s="160"/>
      <c r="K2" t="s">
        <v>64</v>
      </c>
    </row>
    <row r="3" spans="1:11" x14ac:dyDescent="0.25">
      <c r="A3" s="76"/>
      <c r="B3" s="77"/>
      <c r="C3" s="77"/>
      <c r="D3" s="77"/>
      <c r="E3" s="77"/>
      <c r="F3" s="77"/>
      <c r="G3" s="77"/>
      <c r="H3" s="77"/>
      <c r="K3" t="s">
        <v>65</v>
      </c>
    </row>
    <row r="4" spans="1:11" ht="15.75" thickBot="1" x14ac:dyDescent="0.3">
      <c r="A4" s="76"/>
      <c r="B4" s="77" t="s">
        <v>45</v>
      </c>
      <c r="C4" s="77"/>
      <c r="D4" s="77" t="s">
        <v>46</v>
      </c>
      <c r="E4" s="77"/>
      <c r="F4" s="77" t="s">
        <v>47</v>
      </c>
      <c r="G4" s="77"/>
      <c r="H4" s="77" t="s">
        <v>48</v>
      </c>
      <c r="K4" t="s">
        <v>63</v>
      </c>
    </row>
    <row r="5" spans="1:11" ht="15.75" thickBot="1" x14ac:dyDescent="0.3">
      <c r="A5" s="76" t="s">
        <v>53</v>
      </c>
      <c r="B5" s="78">
        <v>0</v>
      </c>
      <c r="C5" s="76"/>
      <c r="D5" s="78">
        <v>0</v>
      </c>
      <c r="E5" s="76"/>
      <c r="F5" s="78">
        <v>0</v>
      </c>
      <c r="G5" s="76"/>
      <c r="H5" s="79" t="s">
        <v>62</v>
      </c>
      <c r="K5" t="s">
        <v>72</v>
      </c>
    </row>
    <row r="6" spans="1:11" ht="15.75" thickBot="1" x14ac:dyDescent="0.3">
      <c r="A6" s="76"/>
      <c r="B6" s="76"/>
      <c r="C6" s="76"/>
      <c r="D6" s="76"/>
      <c r="E6" s="76"/>
      <c r="F6" s="76"/>
      <c r="G6" s="76"/>
      <c r="H6" s="77" t="s">
        <v>49</v>
      </c>
    </row>
    <row r="7" spans="1:11" ht="15.75" thickBot="1" x14ac:dyDescent="0.3">
      <c r="A7" s="76" t="s">
        <v>54</v>
      </c>
      <c r="B7" s="78">
        <v>0</v>
      </c>
      <c r="C7" s="76"/>
      <c r="D7" s="78">
        <v>0</v>
      </c>
      <c r="E7" s="76"/>
      <c r="F7" s="78">
        <v>0</v>
      </c>
      <c r="G7" s="76"/>
      <c r="H7" s="79" t="s">
        <v>50</v>
      </c>
      <c r="K7" t="s">
        <v>50</v>
      </c>
    </row>
    <row r="8" spans="1:11" ht="15.75" thickBot="1" x14ac:dyDescent="0.3">
      <c r="A8" s="76"/>
      <c r="B8" s="76"/>
      <c r="C8" s="76"/>
      <c r="D8" s="76"/>
      <c r="E8" s="76"/>
      <c r="F8" s="76"/>
      <c r="G8" s="76"/>
      <c r="H8" s="80" t="s">
        <v>57</v>
      </c>
      <c r="K8" t="s">
        <v>51</v>
      </c>
    </row>
    <row r="9" spans="1:11" ht="15.75" thickBot="1" x14ac:dyDescent="0.3">
      <c r="A9" s="76"/>
      <c r="B9" s="76"/>
      <c r="C9" s="76"/>
      <c r="D9" s="76"/>
      <c r="E9" s="76"/>
      <c r="F9" s="76"/>
      <c r="G9" s="76"/>
      <c r="H9" s="81" t="s">
        <v>58</v>
      </c>
      <c r="K9" t="s">
        <v>52</v>
      </c>
    </row>
    <row r="10" spans="1:11" ht="15.75" hidden="1" thickBot="1" x14ac:dyDescent="0.3">
      <c r="A10" s="76" t="s">
        <v>55</v>
      </c>
      <c r="B10" s="82">
        <f>(IF(AND(H5="BNT M (43-44)",H7="А"),'моно 43'!D17,(IF(AND(H5="BNT M (43-44)",H7="В"),'моно 43'!D18,(IF(AND(H5="BNT M (43-44)",H7="С"),'моно 43'!D19,(IF(AND(H5="BNT M+ (43)",H7="А"),'mono L'!D17,(IF(AND(H5="BNT M+ (43)",H7="В"),'mono L'!D18,(IF(AND(H5="BNT M+ (43)",H7="С"),'mono L'!D19,(IF(AND(H5="BNT M+ (44-52)",H7="А"),'mono L'!D17,(IF(AND(H5="BNT M+ (44-52)",H7="В"),'mono L'!D18,(IF(AND(H5="BNT M+ (44-52)",H7="С"),'mono L'!D19,(IF(AND(H5="BNT L (43)",H7="А"),'mono L'!D17,(IF(AND(H5="BNT L (43)",H7="В"),'mono L'!D18,(IF(AND(H5="BNT L (43)",H7="С"),'mono L'!D19,(IF(AND(H5="BNT L (52-75)",H7="А"),'mono L'!D17,(IF(AND(H5="BNT L (52-75)",H7="В"),'mono L'!D18,(IF(AND(H5="BNT L (52-75)",H7="С"),'mono L'!D19,0))))))))))))))))))))))))))))))</f>
        <v>0</v>
      </c>
      <c r="C10" s="76"/>
      <c r="D10" s="82">
        <f>(IF(AND(H5="BNT M (43-44)",H7="А"),'моно 43'!E17,(IF(AND(H5="BNT M (43-44)",H7="В"),'моно 43'!E18,(IF(AND(H5="BNT M (43-44)",H7="С"),'моно 43'!E19,(IF(AND(H5="BNT M+ (43)",H7="А"),'mono L'!E17,(IF(AND(H5="BNT M+ (43)",H7="В"),'mono L'!E18,(IF(AND(H5="BNT M+ (43)",H7="С"),'mono L'!E19,(IF(AND(H5="BNT M+ (44-52)",H7="А"),'mono L'!E17,(IF(AND(H5="BNT M+ (44-52)",H7="В"),'mono L'!E18,(IF(AND(H5="BNT M+ (44-52)",H7="С"),'mono L'!E19,(IF(AND(H5="BNT L (43)",H7="А"),'mono L'!E17,(IF(AND(H5="BNT L (43)",H7="В"),'mono L'!E18,(IF(AND(H5="BNT L (43)",H7="С"),'mono L'!E19,(IF(AND(H5="BNT L (52-75)",H7="А"),'mono L'!E17,(IF(AND(H5="BNT L (52-75)",H7="В"),'mono L'!E18,(IF(AND(H5="BNT L (52-75)",H7="С"),'mono L'!E19,0))))))))))))))))))))))))))))))</f>
        <v>0</v>
      </c>
      <c r="E10" s="76"/>
      <c r="F10" s="82">
        <f>(IF(AND(H5="BNT M (43-44)",H7="А"),'моно 43'!F17,(IF(AND(H5="BNT M (43-44)",H7="В"),'моно 43'!F18,(IF(AND(H5="BNT M (43-44)",H7="С"),'моно 43'!F19,(IF(AND(H5="BNT M+ (43)",H7="А"),'mono L'!F17,(IF(AND(H5="BNT M+ (43)",H7="В"),'mono L'!F18,(IF(AND(H5="BNT M+ (43)",H7="С"),'mono L'!F19,(IF(AND(H5="BNT M+ (44-52)",H7="А"),'mono L'!F17,(IF(AND(H5="BNT M+ (44-52)",H7="В"),'mono L'!F18,(IF(AND(H5="BNT M+ (44-52)",H7="С"),'mono L'!F19,(IF(AND(H5="BNT L (43)",H7="А"),'mono L'!F17,(IF(AND(H5="BNT L (43)",H7="В"),'mono L'!F18,(IF(AND(H5="BNT L (43)",H7="С"),'mono L'!F19,(IF(AND(H5="BNT L (52-75)",H7="А"),'mono L'!F17,(IF(AND(H5="BNT L (52-75)",H7="В"),'mono L'!F18,(IF(AND(H5="BNT L (52-75)",H7="С"),'mono L'!F19,0))))))))))))))))))))))))))))))</f>
        <v>0</v>
      </c>
      <c r="G10" s="76"/>
      <c r="H10" s="83"/>
    </row>
    <row r="11" spans="1:11" ht="15.75" thickBot="1" x14ac:dyDescent="0.3">
      <c r="A11" s="76"/>
      <c r="B11" s="76"/>
      <c r="C11" s="76"/>
      <c r="D11" s="76"/>
      <c r="E11" s="76"/>
      <c r="F11" s="76"/>
      <c r="G11" s="76"/>
      <c r="H11" s="76"/>
    </row>
    <row r="12" spans="1:11" ht="15.75" thickBot="1" x14ac:dyDescent="0.3">
      <c r="A12" s="76" t="s">
        <v>56</v>
      </c>
      <c r="B12" s="76"/>
      <c r="C12" s="82">
        <f>IF(H9="Привод  эл. А",0,B10+D10+F10)</f>
        <v>0</v>
      </c>
      <c r="D12" s="84">
        <f>IF(AND(C12&gt;3,C12&lt;=5,H5="BNT M (43-44)",H9="Привод ручной"),"Рекомендуется установить пружину 43 мм",IF(AND(C12&gt;5,H5="BNT M (43-44)",H9="Привод ручной"),"Нагрузка на механизм превышает предельно допустимую (5 кг)",IF(AND(C12&gt;3,C12&lt;=5,H5="BNT L (43)",H9="Привод ручной"),"Рекомендуется установить пружину 43 мм",IF(AND(C12&gt;5,C12&lt;=7,H5="BNT L (43)",H9="Привод ручной"),"Рекомендуется установить пружину 43 мм + Б.цепь",IF(AND(C12&gt;7,H5="BNT L (43)",H9="Привод ручной"),"Нагрузка на механизм превышает предельно допустимую (7 кг)",IF(AND(C12&gt;3,C12&lt;=5,H5="BNT M+ (43)",H9="Привод ручной"),"Рекомендуется установить пружину 43 мм",IF(AND(C12&gt;5,C12&lt;=7,H5="BNT M+ (43)",H9="Привод ручной"),"Рекомендуется установить пружину 43 мм + Б.цепь",IF(AND(C12&gt;7,H5="BNT M+ (43)",H9="Привод ручной"),"Нагрузка на механизм превышает предельно допустимую (7 кг)",IF(AND(C12&gt;3,C12&lt;=7,H5="BNT M+ (44-52)",H9="Привод ручной"),"Рекомендуется установить редуктор",IF(AND(C12&gt;7,C12&lt;=12,H5="BNT M+ (44-52)",H9="Привод ручной"),"Рекомендуется установить редуктор + Б.цепь",IF(AND(C12&gt;12,H5="BNT M+ (44-52)",H9="Привод ручной"),"Нагрузка на механизм превышает предельно допустимую (12 кг)",IF(AND(C12&gt;3,C12&lt;=7,H5="BNT L (52-75)",H9="Привод ручной"),"Рекомендуется установить редуктор",IF(AND(C12&gt;7,C12&lt;=12,H5="BNT L (52-752)",H9="Привод ручной"),"Рекомендуется установить редуктор + Б.цепь",IF(AND(C12&gt;12,H5="BNT L (52-75)",H9="Привод ручной"),"Нагрузка на механизм превышает предельно допустимую (12 кг)",0))))))))))))))</f>
        <v>0</v>
      </c>
      <c r="E12" s="76"/>
      <c r="F12" s="76"/>
      <c r="G12" s="76"/>
      <c r="H12" s="76"/>
      <c r="K12" t="s">
        <v>58</v>
      </c>
    </row>
    <row r="13" spans="1:11" ht="15.75" thickBot="1" x14ac:dyDescent="0.3">
      <c r="A13" s="76"/>
      <c r="B13" s="76"/>
      <c r="C13" s="76"/>
      <c r="D13" s="76"/>
      <c r="E13" s="76"/>
      <c r="F13" s="76"/>
      <c r="G13" s="76"/>
      <c r="H13" s="76"/>
      <c r="K13" t="s">
        <v>61</v>
      </c>
    </row>
    <row r="14" spans="1:11" ht="15.75" thickBot="1" x14ac:dyDescent="0.3">
      <c r="A14" s="76" t="s">
        <v>59</v>
      </c>
      <c r="B14" s="76"/>
      <c r="C14" s="82">
        <f>D10+F10</f>
        <v>0</v>
      </c>
      <c r="D14" s="84">
        <f>IF(C14&gt;5,"Нагрузка на рег. заглушку превышает предельно допустимую (5 кг)",0)</f>
        <v>0</v>
      </c>
      <c r="E14" s="76"/>
      <c r="F14" s="76"/>
      <c r="G14" s="76"/>
      <c r="H14" s="76"/>
    </row>
    <row r="15" spans="1:11" ht="15.75" thickBot="1" x14ac:dyDescent="0.3">
      <c r="A15" s="76"/>
      <c r="B15" s="76"/>
      <c r="C15" s="85"/>
      <c r="D15" s="76"/>
      <c r="E15" s="76"/>
      <c r="F15" s="76"/>
      <c r="G15" s="76"/>
      <c r="H15" s="76"/>
    </row>
    <row r="16" spans="1:11" ht="15.75" thickBot="1" x14ac:dyDescent="0.3">
      <c r="A16" s="76" t="s">
        <v>60</v>
      </c>
      <c r="B16" s="76"/>
      <c r="C16" s="82">
        <f>IF(AND(H5="BNT M (43-44)",H9="Привод ручной"),'моно 43'!G2,IF(AND(H5="BNT L (43)",H9="Привод ручной"),'mono L'!G2,IF(AND(H5="BNT M+ (43)",H9="Привод ручной"),'mono L'!G2,IF(AND(H5="BNT M+ (44-52)",H9="Привод ручной"),'mono L'!G2,IF(AND(H5="BNT L (52-75)",H9="Привод ручной"),'mono L'!G2,0)))))</f>
        <v>0</v>
      </c>
      <c r="D16" s="84">
        <f>IF(AND(H5="BNT M (43-44)",C16&gt;8.4),"max. Площадь 8,4 кв.м.",IF(AND(H5="BNT L (43)",C16&gt;16),"max. Площадь 16 кв.м.",IF(AND(H5="BNT M+ (43)",C16&gt;10.8),"max. Площадь 10,8 кв.м.",IF(AND(H5="BNT M+ (44-52)",C16&gt;10.8),"max. Площадь 10,8 кв.м.",IF(AND(H5="BNT L (52-75)",C16&gt;16),"max. Площадь 16 кв.м.",0)))))</f>
        <v>0</v>
      </c>
      <c r="E16" s="76"/>
      <c r="F16" s="76"/>
      <c r="G16" s="76"/>
      <c r="H16" s="76"/>
    </row>
  </sheetData>
  <sheetProtection algorithmName="SHA-512" hashValue="IZv2ssW9+oZiSFei/t7fEP0NFj9VMpgv9C71eFl4XplbP0JjkVz6YwNAk4AAw+jQZGRcaRy+V8hnT1op24PXcw==" saltValue="q1BJkFUidpuBqy+mmFonDA==" spinCount="100000" sheet="1" objects="1" scenarios="1" formatCells="0" formatColumns="0" formatRows="0" insertColumns="0" insertRows="0" deleteColumns="0" deleteRows="0"/>
  <mergeCells count="1">
    <mergeCell ref="A2:H2"/>
  </mergeCells>
  <dataValidations count="4">
    <dataValidation type="list" allowBlank="1" showInputMessage="1" showErrorMessage="1" sqref="H5">
      <formula1>$K$1:$K$5</formula1>
    </dataValidation>
    <dataValidation type="list" allowBlank="1" showInputMessage="1" showErrorMessage="1" sqref="H7">
      <formula1>$K$7:$K$9</formula1>
    </dataValidation>
    <dataValidation type="list" allowBlank="1" showInputMessage="1" showErrorMessage="1" sqref="H19">
      <formula1>$K$11:$K$14</formula1>
    </dataValidation>
    <dataValidation type="list" allowBlank="1" showInputMessage="1" showErrorMessage="1" sqref="H9">
      <formula1>$K$11:$K$13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20" sqref="D20"/>
    </sheetView>
  </sheetViews>
  <sheetFormatPr defaultRowHeight="15" x14ac:dyDescent="0.25"/>
  <cols>
    <col min="7" max="7" width="18.85546875" customWidth="1"/>
    <col min="8" max="8" width="21.42578125" customWidth="1"/>
  </cols>
  <sheetData>
    <row r="1" spans="1:10" ht="30" x14ac:dyDescent="0.25">
      <c r="A1" s="149" t="s">
        <v>66</v>
      </c>
      <c r="B1" s="150"/>
      <c r="C1" s="150"/>
      <c r="D1" s="1" t="s">
        <v>1</v>
      </c>
      <c r="E1" s="1" t="s">
        <v>2</v>
      </c>
      <c r="F1" s="47" t="s">
        <v>3</v>
      </c>
      <c r="G1" s="48" t="s">
        <v>4</v>
      </c>
      <c r="H1" s="49" t="s">
        <v>5</v>
      </c>
      <c r="I1" s="149" t="s">
        <v>6</v>
      </c>
      <c r="J1" s="168"/>
    </row>
    <row r="2" spans="1:10" ht="60" x14ac:dyDescent="0.25">
      <c r="A2" s="152" t="s">
        <v>7</v>
      </c>
      <c r="B2" s="153"/>
      <c r="C2" s="153"/>
      <c r="D2" s="5">
        <f>IF(Расчет!H5= "BNT M+ (44-52)",Расчет!B5,IF(Расчет!H5= "BNT L (52-75)",Расчет!B5,IF(Расчет!H5= "BNT M+ (43)",Расчет!B5,IF(Расчет!H5= "BNT L (43)",Расчет!B5,0))))</f>
        <v>0</v>
      </c>
      <c r="E2" s="5">
        <f>IF(Расчет!H5= "BNT M+ (44-52)",Расчет!D5,IF(Расчет!H5= "BNT L (52-75)",Расчет!D5,IF(Расчет!H5= "BNT M+ (43)",Расчет!D5,IF(Расчет!H5= "BNT L (43)",Расчет!D5,0))))</f>
        <v>0</v>
      </c>
      <c r="F2" s="45">
        <f>IF(Расчет!H5= "BNT M+ (44-52)",Расчет!F5,IF(Расчет!H5= "BNT L (52-75)",Расчет!F5,IF(Расчет!H5= "BNT M+ (43)",Расчет!F5,IF(Расчет!H5= "BNT L (43)",Расчет!F5,0))))</f>
        <v>0</v>
      </c>
      <c r="G2" s="184">
        <f>D2*D3+E2*E3+F3*F2</f>
        <v>0</v>
      </c>
      <c r="H2" s="186">
        <f>D2+E2+F2</f>
        <v>0</v>
      </c>
      <c r="I2" s="50" t="s">
        <v>8</v>
      </c>
      <c r="J2" s="51" t="s">
        <v>9</v>
      </c>
    </row>
    <row r="3" spans="1:10" ht="15.75" thickBot="1" x14ac:dyDescent="0.3">
      <c r="A3" s="158" t="s">
        <v>10</v>
      </c>
      <c r="B3" s="159"/>
      <c r="C3" s="159"/>
      <c r="D3" s="8">
        <f>IF(Расчет!H5= "BNT M+ (44-52)",Расчет!B7,IF(Расчет!H5= "BNT L (52-75)",Расчет!B7,IF(Расчет!H5= "BNT M+ (43)",Расчет!B7,IF(Расчет!H5= "BNT L (43)",Расчет!B7,0))))</f>
        <v>0</v>
      </c>
      <c r="E3" s="8">
        <f>IF(Расчет!H5= "BNT M+ (44-52)",Расчет!D7,IF(Расчет!H5= "BNT L (52-75)",Расчет!D7,IF(Расчет!H5= "BNT M+ (43)",Расчет!D7,IF(Расчет!H5= "BNT L (43)",Расчет!D7,0))))</f>
        <v>0</v>
      </c>
      <c r="F3" s="52">
        <f>IF(Расчет!H5= "BNT M+ (44-52)",Расчет!F7,IF(Расчет!H5= "BNT L (52-75)",Расчет!F7,IF(Расчет!H5= "BNT M+ (43)",Расчет!F7,IF(Расчет!H5= "BNT L (43)",Расчет!F7,0))))</f>
        <v>0</v>
      </c>
      <c r="G3" s="185"/>
      <c r="H3" s="187"/>
      <c r="I3" s="53" t="s">
        <v>11</v>
      </c>
      <c r="J3" s="54">
        <v>0.2</v>
      </c>
    </row>
    <row r="4" spans="1:10" ht="15.75" thickBot="1" x14ac:dyDescent="0.3">
      <c r="A4" s="140" t="s">
        <v>12</v>
      </c>
      <c r="B4" s="141"/>
      <c r="C4" s="141"/>
      <c r="D4" s="142">
        <v>0</v>
      </c>
      <c r="E4" s="142"/>
      <c r="F4" s="143"/>
      <c r="G4" s="55" t="s">
        <v>67</v>
      </c>
      <c r="H4" s="56" t="s">
        <v>14</v>
      </c>
      <c r="I4" s="46" t="s">
        <v>15</v>
      </c>
      <c r="J4" s="54">
        <v>0.32</v>
      </c>
    </row>
    <row r="5" spans="1:10" x14ac:dyDescent="0.25">
      <c r="A5" s="144" t="s">
        <v>16</v>
      </c>
      <c r="B5" s="145"/>
      <c r="C5" s="145"/>
      <c r="D5" s="145" t="s">
        <v>17</v>
      </c>
      <c r="E5" s="145"/>
      <c r="F5" s="146"/>
      <c r="G5" s="4"/>
      <c r="H5" s="4"/>
      <c r="I5" s="57" t="s">
        <v>18</v>
      </c>
      <c r="J5" s="58">
        <v>0.55000000000000004</v>
      </c>
    </row>
    <row r="6" spans="1:10" ht="15.75" thickBot="1" x14ac:dyDescent="0.3">
      <c r="A6" s="147" t="s">
        <v>19</v>
      </c>
      <c r="B6" s="148"/>
      <c r="C6" s="148"/>
      <c r="D6" s="17">
        <f>(5*(D17+$D$24)*(((D2-0.035)*100)^3)/(384*$D$10*$D$12)*10)</f>
        <v>2.7875910359483968E-8</v>
      </c>
      <c r="E6" s="17">
        <f>(5*(E17+$D$24)*(((E2-0.035)*100)^3)/(384*$D$10*$D$12)*10)</f>
        <v>2.7875910359483968E-8</v>
      </c>
      <c r="F6" s="18">
        <f>(5*(F17+$D$24)*(((F2-0.035)*100)^3)/(384*$D$10*$D$12)*10)</f>
        <v>2.7875910359483968E-8</v>
      </c>
      <c r="G6" s="59"/>
      <c r="H6" s="196"/>
      <c r="I6" s="60" t="s">
        <v>20</v>
      </c>
      <c r="J6" s="61"/>
    </row>
    <row r="7" spans="1:10" x14ac:dyDescent="0.25">
      <c r="A7" s="147" t="s">
        <v>21</v>
      </c>
      <c r="B7" s="148"/>
      <c r="C7" s="148"/>
      <c r="D7" s="17">
        <f>(5*(D18+$D$24)*(((D2-0.035)*100)^3)/(384*$D$10*$D$12)*10)</f>
        <v>2.7875910359483968E-8</v>
      </c>
      <c r="E7" s="17">
        <f>(5*(E18+$D$24)*(((E2-0.035)*100)^3)/(384*$D$10*$D$12)*10)</f>
        <v>2.7875910359483968E-8</v>
      </c>
      <c r="F7" s="18">
        <f>(5*(F18+$D$24)*(((F2-0.035)*100)^3)/(384*$D$10*$D$12)*10)</f>
        <v>2.7875910359483968E-8</v>
      </c>
      <c r="G7" s="59"/>
      <c r="H7" s="196"/>
      <c r="I7" s="149" t="s">
        <v>22</v>
      </c>
      <c r="J7" s="168"/>
    </row>
    <row r="8" spans="1:10" ht="15.75" thickBot="1" x14ac:dyDescent="0.3">
      <c r="A8" s="192" t="s">
        <v>23</v>
      </c>
      <c r="B8" s="193"/>
      <c r="C8" s="193"/>
      <c r="D8" s="19">
        <f>(5*(D19+$D$24)*(((D2-0.035)*100)^3)/(384*$D$10*$D$12)*10)</f>
        <v>2.7875910359483968E-8</v>
      </c>
      <c r="E8" s="19">
        <f>(5*(E19+$D$24)*(((E2-0.035)*100)^3)/(384*$D$10*$D$12)*10)</f>
        <v>2.7875910359483968E-8</v>
      </c>
      <c r="F8" s="20">
        <f>(5*(F19+$D$24)*(((F2-0.035)*100)^3)/(384*$D$10*$D$12)*10)</f>
        <v>2.7875910359483968E-8</v>
      </c>
      <c r="G8" s="59"/>
      <c r="H8" s="196"/>
      <c r="I8" s="62" t="s">
        <v>24</v>
      </c>
      <c r="J8" s="63">
        <f>0.28*1.03</f>
        <v>0.28840000000000005</v>
      </c>
    </row>
    <row r="9" spans="1:10" ht="15.75" thickBot="1" x14ac:dyDescent="0.3">
      <c r="A9" s="194" t="s">
        <v>25</v>
      </c>
      <c r="B9" s="195"/>
      <c r="C9" s="195"/>
      <c r="D9" s="64">
        <f>D2/0.5</f>
        <v>0</v>
      </c>
      <c r="E9" s="64">
        <f>E2/0.5</f>
        <v>0</v>
      </c>
      <c r="F9" s="65">
        <f>F2/0.5</f>
        <v>0</v>
      </c>
      <c r="G9" s="59"/>
      <c r="H9" s="25"/>
      <c r="I9" s="66" t="s">
        <v>26</v>
      </c>
      <c r="J9" s="63">
        <f>(1.16*100)/(1000^2)*2690</f>
        <v>0.31203999999999998</v>
      </c>
    </row>
    <row r="10" spans="1:10" ht="15.75" thickBot="1" x14ac:dyDescent="0.3">
      <c r="A10" s="132" t="s">
        <v>27</v>
      </c>
      <c r="B10" s="133"/>
      <c r="C10" s="133"/>
      <c r="D10" s="134">
        <f>6.83*10^5</f>
        <v>683000</v>
      </c>
      <c r="E10" s="169"/>
      <c r="F10" s="135"/>
      <c r="G10" s="28"/>
      <c r="H10" s="29"/>
      <c r="I10" s="67" t="s">
        <v>28</v>
      </c>
      <c r="J10" s="68">
        <f>(1.64*100)/(1000^2)*2690</f>
        <v>0.44116</v>
      </c>
    </row>
    <row r="11" spans="1:10" x14ac:dyDescent="0.25">
      <c r="A11" s="136" t="s">
        <v>29</v>
      </c>
      <c r="B11" s="137"/>
      <c r="C11" s="137"/>
      <c r="D11" s="138">
        <f>J10</f>
        <v>0.44116</v>
      </c>
      <c r="E11" s="170"/>
      <c r="F11" s="139"/>
      <c r="G11" s="32"/>
      <c r="H11" s="29"/>
      <c r="I11" s="4"/>
      <c r="J11" s="4"/>
    </row>
    <row r="12" spans="1:10" ht="15.75" thickBot="1" x14ac:dyDescent="0.3">
      <c r="A12" s="188" t="s">
        <v>30</v>
      </c>
      <c r="B12" s="189"/>
      <c r="C12" s="189"/>
      <c r="D12" s="171">
        <v>11.65</v>
      </c>
      <c r="E12" s="172"/>
      <c r="F12" s="173"/>
      <c r="G12" s="69" t="s">
        <v>68</v>
      </c>
      <c r="H12" s="29"/>
      <c r="I12" s="174" t="s">
        <v>69</v>
      </c>
      <c r="J12" s="174"/>
    </row>
    <row r="13" spans="1:10" x14ac:dyDescent="0.25">
      <c r="A13" s="190" t="s">
        <v>32</v>
      </c>
      <c r="B13" s="191"/>
      <c r="C13" s="191"/>
      <c r="D13" s="70">
        <f>(D3+0.3)*(D2-0.035)*$J3*$D$25</f>
        <v>-2.2050000000000004E-3</v>
      </c>
      <c r="E13" s="70">
        <f>(E3+0.3)*(E2-0.035)*$J3*$D$25</f>
        <v>-2.2050000000000004E-3</v>
      </c>
      <c r="F13" s="71">
        <f>(F3+0.3)*(F2-0.035)*$J3*$D$25</f>
        <v>-2.2050000000000004E-3</v>
      </c>
      <c r="G13" s="72">
        <f>IF($D$4=0,SUM(D13:F13),(SUM(D13:F13))*1.1^$D$4)</f>
        <v>-6.6150000000000011E-3</v>
      </c>
      <c r="H13" s="175" t="s">
        <v>70</v>
      </c>
      <c r="I13" s="178" t="s">
        <v>71</v>
      </c>
      <c r="J13" s="179"/>
    </row>
    <row r="14" spans="1:10" x14ac:dyDescent="0.25">
      <c r="A14" s="100" t="s">
        <v>34</v>
      </c>
      <c r="B14" s="101"/>
      <c r="C14" s="101"/>
      <c r="D14" s="37">
        <f>(D3+0.3)*(D2-0.035)*$J$4*$D$25</f>
        <v>-3.5280000000000003E-3</v>
      </c>
      <c r="E14" s="37">
        <f>(E3+0.3)*(E2-0.035)*$J$4*$D$25</f>
        <v>-3.5280000000000003E-3</v>
      </c>
      <c r="F14" s="73">
        <f>(F3+0.3)*(F2-0.035)*$J$4*$D$25</f>
        <v>-3.5280000000000003E-3</v>
      </c>
      <c r="G14" s="74">
        <f>IF($D$4=0,SUM(D14:F14),(SUM(D14:F14))*1.1^$D$4)</f>
        <v>-1.0584000000000001E-2</v>
      </c>
      <c r="H14" s="176"/>
      <c r="I14" s="180"/>
      <c r="J14" s="181"/>
    </row>
    <row r="15" spans="1:10" ht="15.75" thickBot="1" x14ac:dyDescent="0.3">
      <c r="A15" s="100" t="s">
        <v>35</v>
      </c>
      <c r="B15" s="101"/>
      <c r="C15" s="101"/>
      <c r="D15" s="37">
        <f>(D3+0.3)*(D2-0.035)*$J$5*$D$25</f>
        <v>-6.0637500000000006E-3</v>
      </c>
      <c r="E15" s="37">
        <f>(E3+0.3)*(E2-0.035)*$J$5*$D$25</f>
        <v>-6.0637500000000006E-3</v>
      </c>
      <c r="F15" s="73">
        <f>(F3+0.3)*(F2-0.035)*$J$5*$D$25</f>
        <v>-6.0637500000000006E-3</v>
      </c>
      <c r="G15" s="75">
        <f>IF($D$4=0,SUM(D15:F15),(SUM(D15:F15))*1.1^$D$4)</f>
        <v>-1.8191250000000003E-2</v>
      </c>
      <c r="H15" s="177"/>
      <c r="I15" s="182"/>
      <c r="J15" s="183"/>
    </row>
    <row r="16" spans="1:10" x14ac:dyDescent="0.25">
      <c r="A16" s="100" t="s">
        <v>36</v>
      </c>
      <c r="B16" s="101"/>
      <c r="C16" s="101"/>
      <c r="D16" s="37">
        <f>(D2-0.035)*$D$11</f>
        <v>-1.5440600000000001E-2</v>
      </c>
      <c r="E16" s="37">
        <f>(E2-0.035)*$D$11</f>
        <v>-1.5440600000000001E-2</v>
      </c>
      <c r="F16" s="38">
        <f>(F2-0.035)*$D$11</f>
        <v>-1.5440600000000001E-2</v>
      </c>
      <c r="G16" s="39"/>
      <c r="H16" s="29"/>
      <c r="I16" s="4"/>
      <c r="J16" s="4"/>
    </row>
    <row r="17" spans="1:10" x14ac:dyDescent="0.25">
      <c r="A17" s="100" t="s">
        <v>37</v>
      </c>
      <c r="B17" s="101"/>
      <c r="C17" s="101"/>
      <c r="D17" s="37">
        <f>IF(D2&gt;0,(D13+D16),0)</f>
        <v>0</v>
      </c>
      <c r="E17" s="37">
        <f>IF(E2&gt;0,(E13+E16),0)</f>
        <v>0</v>
      </c>
      <c r="F17" s="38">
        <f>IF(F2&gt;0,(F13+F16),0)</f>
        <v>0</v>
      </c>
      <c r="G17" s="39"/>
      <c r="H17" s="4"/>
      <c r="I17" s="4"/>
      <c r="J17" s="4"/>
    </row>
    <row r="18" spans="1:10" x14ac:dyDescent="0.25">
      <c r="A18" s="100" t="s">
        <v>38</v>
      </c>
      <c r="B18" s="101"/>
      <c r="C18" s="101"/>
      <c r="D18" s="37">
        <f>IF(D2&gt;0,(D14+D16),0)</f>
        <v>0</v>
      </c>
      <c r="E18" s="37">
        <f>IF(E2&gt;0,(E14+E16),0)</f>
        <v>0</v>
      </c>
      <c r="F18" s="38">
        <f>IF(F2&gt;0,(F14+F16),0)</f>
        <v>0</v>
      </c>
      <c r="G18" s="39"/>
      <c r="H18" s="4"/>
      <c r="I18" s="4"/>
      <c r="J18" s="4"/>
    </row>
    <row r="19" spans="1:10" ht="15.75" thickBot="1" x14ac:dyDescent="0.3">
      <c r="A19" s="104" t="s">
        <v>39</v>
      </c>
      <c r="B19" s="105"/>
      <c r="C19" s="105"/>
      <c r="D19" s="40">
        <f>IF(D2&gt;0,(D15+D16),0)</f>
        <v>0</v>
      </c>
      <c r="E19" s="40">
        <f>IF(E2&gt;0,(E15+E16),0)</f>
        <v>0</v>
      </c>
      <c r="F19" s="41">
        <f>IF(F2&gt;0,(F15+F16),0)</f>
        <v>0</v>
      </c>
      <c r="G19" s="39"/>
      <c r="H19" s="4"/>
      <c r="I19" s="4"/>
      <c r="J19" s="4"/>
    </row>
    <row r="20" spans="1:10" ht="15.75" thickBot="1" x14ac:dyDescent="0.3">
      <c r="A20" s="4"/>
      <c r="B20" s="4"/>
      <c r="C20" s="4"/>
      <c r="D20" s="4"/>
      <c r="E20" s="4"/>
      <c r="F20" s="4"/>
      <c r="G20" s="4"/>
      <c r="H20" s="29"/>
      <c r="I20" s="4"/>
      <c r="J20" s="4"/>
    </row>
    <row r="21" spans="1:10" x14ac:dyDescent="0.25">
      <c r="A21" s="106" t="s">
        <v>40</v>
      </c>
      <c r="B21" s="107"/>
      <c r="C21" s="107"/>
      <c r="D21" s="108">
        <f>(4.22*100)/(1000^2)</f>
        <v>4.2200000000000001E-4</v>
      </c>
      <c r="E21" s="164"/>
      <c r="F21" s="109"/>
      <c r="G21" s="28"/>
      <c r="H21" s="29"/>
      <c r="I21" s="4"/>
      <c r="J21" s="4"/>
    </row>
    <row r="22" spans="1:10" x14ac:dyDescent="0.25">
      <c r="A22" s="90" t="s">
        <v>41</v>
      </c>
      <c r="B22" s="91"/>
      <c r="C22" s="91"/>
      <c r="D22" s="92">
        <v>2690</v>
      </c>
      <c r="E22" s="165"/>
      <c r="F22" s="93"/>
      <c r="G22" s="28"/>
      <c r="H22" s="29"/>
      <c r="I22" s="4"/>
      <c r="J22" s="4"/>
    </row>
    <row r="23" spans="1:10" x14ac:dyDescent="0.25">
      <c r="A23" s="90" t="s">
        <v>42</v>
      </c>
      <c r="B23" s="91"/>
      <c r="C23" s="91"/>
      <c r="D23" s="94">
        <f>D22*D21</f>
        <v>1.1351800000000001</v>
      </c>
      <c r="E23" s="166"/>
      <c r="F23" s="95"/>
      <c r="G23" s="42"/>
      <c r="H23" s="29"/>
      <c r="I23" s="4"/>
      <c r="J23" s="4"/>
    </row>
    <row r="24" spans="1:10" ht="15.75" thickBot="1" x14ac:dyDescent="0.3">
      <c r="A24" s="96" t="s">
        <v>43</v>
      </c>
      <c r="B24" s="97"/>
      <c r="C24" s="97"/>
      <c r="D24" s="98">
        <f>(D2-0.035)*(D23)</f>
        <v>-3.9731300000000004E-2</v>
      </c>
      <c r="E24" s="167"/>
      <c r="F24" s="99"/>
      <c r="G24" s="43"/>
      <c r="H24" s="29"/>
      <c r="I24" s="4"/>
      <c r="J24" s="4"/>
    </row>
    <row r="25" spans="1:10" ht="15.75" thickBot="1" x14ac:dyDescent="0.3">
      <c r="A25" s="96" t="s">
        <v>44</v>
      </c>
      <c r="B25" s="97"/>
      <c r="C25" s="97"/>
      <c r="D25" s="161">
        <v>1.05</v>
      </c>
      <c r="E25" s="162"/>
      <c r="F25" s="163"/>
      <c r="G25" s="44"/>
      <c r="H25" s="29"/>
      <c r="I25" s="4"/>
      <c r="J25" s="4"/>
    </row>
  </sheetData>
  <mergeCells count="42">
    <mergeCell ref="A5:C5"/>
    <mergeCell ref="A6:C6"/>
    <mergeCell ref="A7:C7"/>
    <mergeCell ref="A2:C2"/>
    <mergeCell ref="A3:C3"/>
    <mergeCell ref="A4:C4"/>
    <mergeCell ref="A11:C11"/>
    <mergeCell ref="A12:C12"/>
    <mergeCell ref="A13:C13"/>
    <mergeCell ref="A8:C8"/>
    <mergeCell ref="A9:C9"/>
    <mergeCell ref="A10:C10"/>
    <mergeCell ref="H13:H15"/>
    <mergeCell ref="I13:J15"/>
    <mergeCell ref="A22:C22"/>
    <mergeCell ref="A23:C23"/>
    <mergeCell ref="A1:C1"/>
    <mergeCell ref="I1:J1"/>
    <mergeCell ref="G2:G3"/>
    <mergeCell ref="H2:H3"/>
    <mergeCell ref="D4:F4"/>
    <mergeCell ref="D5:F5"/>
    <mergeCell ref="A19:C19"/>
    <mergeCell ref="A21:C21"/>
    <mergeCell ref="A14:C14"/>
    <mergeCell ref="A15:C15"/>
    <mergeCell ref="A16:C16"/>
    <mergeCell ref="A17:C17"/>
    <mergeCell ref="I7:J7"/>
    <mergeCell ref="D10:F10"/>
    <mergeCell ref="D11:F11"/>
    <mergeCell ref="D12:F12"/>
    <mergeCell ref="I12:J12"/>
    <mergeCell ref="H6:H8"/>
    <mergeCell ref="A25:C25"/>
    <mergeCell ref="D25:F25"/>
    <mergeCell ref="A18:C18"/>
    <mergeCell ref="D21:F21"/>
    <mergeCell ref="D22:F22"/>
    <mergeCell ref="D23:F23"/>
    <mergeCell ref="A24:C24"/>
    <mergeCell ref="D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моно 43</vt:lpstr>
      <vt:lpstr>Расчет</vt:lpstr>
      <vt:lpstr>mono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Голубев</dc:creator>
  <cp:lastModifiedBy>Антон Зибров</cp:lastModifiedBy>
  <dcterms:created xsi:type="dcterms:W3CDTF">2024-11-27T14:16:39Z</dcterms:created>
  <dcterms:modified xsi:type="dcterms:W3CDTF">2024-12-24T07:31:57Z</dcterms:modified>
</cp:coreProperties>
</file>